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heckCompatibility="1" defaultThemeVersion="124226"/>
  <bookViews>
    <workbookView xWindow="-15" yWindow="165" windowWidth="15330" windowHeight="4080" tabRatio="346"/>
  </bookViews>
  <sheets>
    <sheet name="штат СТОЛ на 01.01.2020" sheetId="13" r:id="rId1"/>
    <sheet name="расчет ночн и празд машинистам" sheetId="14" r:id="rId2"/>
  </sheets>
  <definedNames>
    <definedName name="_xlnm.Print_Area" localSheetId="0">'штат СТОЛ на 01.01.2020'!$A$1:$AE$26</definedName>
  </definedNames>
  <calcPr calcId="145621"/>
</workbook>
</file>

<file path=xl/calcChain.xml><?xml version="1.0" encoding="utf-8"?>
<calcChain xmlns="http://schemas.openxmlformats.org/spreadsheetml/2006/main">
  <c r="S14" i="14" l="1"/>
  <c r="W8" i="14"/>
  <c r="P8" i="14"/>
  <c r="S8" i="14" s="1"/>
  <c r="W7" i="14"/>
  <c r="P7" i="14"/>
  <c r="S7" i="14" s="1"/>
  <c r="T7" i="14" s="1"/>
  <c r="U7" i="14" s="1"/>
  <c r="T8" i="14" l="1"/>
  <c r="U8" i="14" s="1"/>
  <c r="S9" i="14"/>
  <c r="N10" i="14" s="1"/>
  <c r="O22" i="14"/>
  <c r="S22" i="14" s="1"/>
  <c r="S23" i="14" s="1"/>
  <c r="O18" i="14"/>
  <c r="S18" i="14" s="1"/>
  <c r="S19" i="14" s="1"/>
  <c r="G14" i="14"/>
  <c r="K8" i="14"/>
  <c r="D8" i="14"/>
  <c r="G8" i="14" s="1"/>
  <c r="K7" i="14"/>
  <c r="G7" i="14"/>
  <c r="H7" i="14" s="1"/>
  <c r="I7" i="14" s="1"/>
  <c r="D7" i="14"/>
  <c r="C22" i="14" s="1"/>
  <c r="G22" i="14" s="1"/>
  <c r="G23" i="14" s="1"/>
  <c r="O26" i="14" l="1"/>
  <c r="H8" i="14"/>
  <c r="I8" i="14" s="1"/>
  <c r="G9" i="14"/>
  <c r="B10" i="14" s="1"/>
  <c r="C18" i="14"/>
  <c r="G18" i="14" s="1"/>
  <c r="G19" i="14" s="1"/>
  <c r="C26" i="14" s="1"/>
  <c r="F17" i="13"/>
  <c r="F18" i="13"/>
  <c r="F19" i="13"/>
  <c r="F20" i="13"/>
  <c r="F21" i="13"/>
  <c r="F22" i="13"/>
  <c r="F16" i="13"/>
  <c r="E23" i="13" l="1"/>
  <c r="P23" i="13"/>
  <c r="AC17" i="13"/>
  <c r="AC18" i="13"/>
  <c r="AC19" i="13"/>
  <c r="AC20" i="13"/>
  <c r="AC21" i="13"/>
  <c r="AC16" i="13"/>
  <c r="T17" i="13"/>
  <c r="AC22" i="13"/>
  <c r="R23" i="13"/>
  <c r="AC23" i="13" l="1"/>
  <c r="X22" i="13"/>
  <c r="Y22" i="13" s="1"/>
  <c r="Z22" i="13" s="1"/>
  <c r="V23" i="13"/>
  <c r="U23" i="13"/>
  <c r="S23" i="13"/>
  <c r="N23" i="13"/>
  <c r="M23" i="13"/>
  <c r="L23" i="13"/>
  <c r="K23" i="13"/>
  <c r="J23" i="13"/>
  <c r="I23" i="13"/>
  <c r="H23" i="13"/>
  <c r="G23" i="13"/>
  <c r="D23" i="13"/>
  <c r="T20" i="13"/>
  <c r="T18" i="13"/>
  <c r="AA22" i="13" l="1"/>
  <c r="AB22" i="13" s="1"/>
  <c r="AE22" i="13" s="1"/>
  <c r="X19" i="13"/>
  <c r="T19" i="13"/>
  <c r="X17" i="13"/>
  <c r="Y17" i="13" s="1"/>
  <c r="Z17" i="13" s="1"/>
  <c r="X21" i="13"/>
  <c r="T21" i="13"/>
  <c r="F23" i="13"/>
  <c r="X18" i="13"/>
  <c r="Y18" i="13" s="1"/>
  <c r="Z18" i="13" s="1"/>
  <c r="X20" i="13"/>
  <c r="Y20" i="13" s="1"/>
  <c r="Z20" i="13" s="1"/>
  <c r="X16" i="13"/>
  <c r="Y16" i="13" s="1"/>
  <c r="Z16" i="13" s="1"/>
  <c r="Y19" i="13" l="1"/>
  <c r="Z19" i="13" s="1"/>
  <c r="Y21" i="13"/>
  <c r="Z21" i="13" s="1"/>
  <c r="AA20" i="13"/>
  <c r="AB20" i="13" s="1"/>
  <c r="AE20" i="13" s="1"/>
  <c r="AA17" i="13"/>
  <c r="AB17" i="13" s="1"/>
  <c r="AE17" i="13" s="1"/>
  <c r="T23" i="13"/>
  <c r="X23" i="13"/>
  <c r="AA19" i="13" l="1"/>
  <c r="AB19" i="13" s="1"/>
  <c r="AE19" i="13" s="1"/>
  <c r="Y23" i="13"/>
  <c r="AA21" i="13"/>
  <c r="AB21" i="13" s="1"/>
  <c r="AE21" i="13" s="1"/>
  <c r="AA18" i="13"/>
  <c r="AB18" i="13" s="1"/>
  <c r="AE18" i="13" s="1"/>
  <c r="AA16" i="13" l="1"/>
  <c r="AB16" i="13" s="1"/>
  <c r="AB25" i="13" s="1"/>
  <c r="Z23" i="13"/>
  <c r="AB23" i="13" l="1"/>
  <c r="AF23" i="13" s="1"/>
  <c r="AG23" i="13" s="1"/>
  <c r="AE16" i="13"/>
  <c r="AE23" i="13" s="1"/>
  <c r="AA23" i="13"/>
</calcChain>
</file>

<file path=xl/sharedStrings.xml><?xml version="1.0" encoding="utf-8"?>
<sst xmlns="http://schemas.openxmlformats.org/spreadsheetml/2006/main" count="151" uniqueCount="83">
  <si>
    <t>Приложение 1</t>
  </si>
  <si>
    <t>(наименование учреждения)</t>
  </si>
  <si>
    <t>УТВЕРЖДЕНО</t>
  </si>
  <si>
    <t>М.П.</t>
  </si>
  <si>
    <t xml:space="preserve">      ШТАТНОЕ РАСПИСАНИЕ</t>
  </si>
  <si>
    <t>№ п/п</t>
  </si>
  <si>
    <t>Должность</t>
  </si>
  <si>
    <t>Ф.И.О. (полностью)</t>
  </si>
  <si>
    <t>Кол-во штатных единиц</t>
  </si>
  <si>
    <t>Должностной оклад (оклад), руб.</t>
  </si>
  <si>
    <t>Повышающие коэффициенты</t>
  </si>
  <si>
    <t>Компенсационные выплаты</t>
  </si>
  <si>
    <t>Стимулирующие выплаты</t>
  </si>
  <si>
    <t>РК,ПН</t>
  </si>
  <si>
    <t>Итого заработная плата с РК,ПН, руб.</t>
  </si>
  <si>
    <t>Материальная помощь (графа 25= графе 6),  руб.</t>
  </si>
  <si>
    <t>за специфику</t>
  </si>
  <si>
    <t>за квалиф.категорию</t>
  </si>
  <si>
    <t>за наличие почетного звания "Заслуженный учитель" и др.</t>
  </si>
  <si>
    <t>за наличие ученой степени</t>
  </si>
  <si>
    <t>за работу в ночное время</t>
  </si>
  <si>
    <t>за работу с вредными и (или) опасными</t>
  </si>
  <si>
    <t>Доплата за работу, не входящую в должностные обязанности, носящую постоянный характер</t>
  </si>
  <si>
    <t>Выслуга</t>
  </si>
  <si>
    <t>% от должностного оклада</t>
  </si>
  <si>
    <t>в руб.</t>
  </si>
  <si>
    <t>ИТОГО:</t>
  </si>
  <si>
    <t>Главный бухгалтер</t>
  </si>
  <si>
    <t>(подпись)</t>
  </si>
  <si>
    <t>М.Н.Самар</t>
  </si>
  <si>
    <t>Муниципальное общеобразовательное учреждение основная общеобразовательная школа села Джуен Амурского муниципального района Хабаровского края</t>
  </si>
  <si>
    <t>МЕСТНЫЙ БЮДЖЕТ</t>
  </si>
  <si>
    <t>кладовщик</t>
  </si>
  <si>
    <t>повар</t>
  </si>
  <si>
    <t>машинист котельной</t>
  </si>
  <si>
    <t>подсобный рабочий</t>
  </si>
  <si>
    <r>
      <t>Штат в количестве _______</t>
    </r>
    <r>
      <rPr>
        <b/>
        <sz val="9"/>
        <rFont val="Arial"/>
        <family val="2"/>
        <charset val="204"/>
      </rPr>
      <t>6</t>
    </r>
    <r>
      <rPr>
        <b/>
        <u/>
        <sz val="9"/>
        <rFont val="Arial"/>
        <family val="2"/>
        <charset val="204"/>
      </rPr>
      <t>,5_</t>
    </r>
    <r>
      <rPr>
        <sz val="9"/>
        <rFont val="Arial"/>
        <family val="2"/>
        <charset val="204"/>
      </rPr>
      <t xml:space="preserve">__________ единиц </t>
    </r>
  </si>
  <si>
    <t>Козлова Ю.И.</t>
  </si>
  <si>
    <t>Киле Елена Дмиртиевна</t>
  </si>
  <si>
    <t>за работу в праздничные дни</t>
  </si>
  <si>
    <t>Киле Александр Александрович</t>
  </si>
  <si>
    <t>Ходжер Ольга Анатольевна</t>
  </si>
  <si>
    <t>Оненко Надежда Михайловна</t>
  </si>
  <si>
    <t>итого начисления</t>
  </si>
  <si>
    <t>допл. до МРОТ</t>
  </si>
  <si>
    <t>оклад</t>
  </si>
  <si>
    <t>Удалов Владимир Геннадьевич</t>
  </si>
  <si>
    <t xml:space="preserve">ФЗП согласован ведущим специалистом УО </t>
  </si>
  <si>
    <t>замена на отпуск</t>
  </si>
  <si>
    <t>в год</t>
  </si>
  <si>
    <t>с фондами</t>
  </si>
  <si>
    <t>Одзял Сергей Петрович</t>
  </si>
  <si>
    <t>Киле Николай Павлович</t>
  </si>
  <si>
    <t>Приложение к штатному расписанию</t>
  </si>
  <si>
    <t>Расчет ночных по сторожам  на 2019год по__" "____МБОУ ООШ с.Джуен________</t>
  </si>
  <si>
    <t>Наименование учреждения</t>
  </si>
  <si>
    <t>норма часов в год</t>
  </si>
  <si>
    <t xml:space="preserve">сред норма часов в мес </t>
  </si>
  <si>
    <t xml:space="preserve">кол-во рабочих дней </t>
  </si>
  <si>
    <t>% ночных от оклад</t>
  </si>
  <si>
    <t>сумма ночных в месяц</t>
  </si>
  <si>
    <t>Сумма ночных для сторожей</t>
  </si>
  <si>
    <t xml:space="preserve">Сумма на одного </t>
  </si>
  <si>
    <t>количество ставок сторожей</t>
  </si>
  <si>
    <t xml:space="preserve"> </t>
  </si>
  <si>
    <t>муж</t>
  </si>
  <si>
    <t>жен</t>
  </si>
  <si>
    <t xml:space="preserve">среднее </t>
  </si>
  <si>
    <t xml:space="preserve">Расчет праздничных сторожам </t>
  </si>
  <si>
    <t>дн празд.</t>
  </si>
  <si>
    <t>часа</t>
  </si>
  <si>
    <t>часов в год</t>
  </si>
  <si>
    <t>месяцев</t>
  </si>
  <si>
    <t>ставки</t>
  </si>
  <si>
    <t>часов в месяц</t>
  </si>
  <si>
    <t>норма часов</t>
  </si>
  <si>
    <t>часов в мес</t>
  </si>
  <si>
    <t>ставки сторожей</t>
  </si>
  <si>
    <t>Главный бухгалтер                    _______________                                 __________________</t>
  </si>
  <si>
    <t xml:space="preserve">                                                  (подпись)</t>
  </si>
  <si>
    <t xml:space="preserve">     (фамилия, имя, отчество)</t>
  </si>
  <si>
    <t>на "01" января 2020 года</t>
  </si>
  <si>
    <t>Приказом учреждения  № 07                                   от "_01___ " __января___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</si>
</sst>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(* #,##0.00_);_(* \(#,##0.00\);_(* &quot;-&quot;??_);_(@_)"/>
    <numFmt numFmtId="166" formatCode="0.0"/>
  </numFmts>
  <fonts count="20" x14ac:knownFonts="1">
    <font>
      <sz val="10"/>
      <name val="Arial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9"/>
      <name val="Arial"/>
      <family val="2"/>
      <charset val="204"/>
    </font>
    <font>
      <sz val="10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70C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165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/>
    <xf numFmtId="0" fontId="6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0" fontId="0" fillId="0" borderId="0" xfId="0" applyBorder="1"/>
    <xf numFmtId="0" fontId="9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165" fontId="4" fillId="0" borderId="1" xfId="2" applyFont="1" applyBorder="1"/>
    <xf numFmtId="0" fontId="10" fillId="0" borderId="0" xfId="0" applyFont="1"/>
    <xf numFmtId="0" fontId="4" fillId="0" borderId="0" xfId="0" applyFont="1" applyBorder="1"/>
    <xf numFmtId="0" fontId="5" fillId="0" borderId="0" xfId="0" applyFont="1" applyAlignment="1"/>
    <xf numFmtId="0" fontId="6" fillId="0" borderId="0" xfId="0" applyFont="1" applyBorder="1"/>
    <xf numFmtId="0" fontId="10" fillId="2" borderId="1" xfId="0" applyFont="1" applyFill="1" applyBorder="1"/>
    <xf numFmtId="165" fontId="10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165" fontId="10" fillId="0" borderId="1" xfId="2" applyFont="1" applyBorder="1"/>
    <xf numFmtId="0" fontId="9" fillId="0" borderId="0" xfId="0" applyFont="1" applyBorder="1"/>
    <xf numFmtId="165" fontId="1" fillId="0" borderId="1" xfId="2" applyFont="1" applyBorder="1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center" wrapText="1" shrinkToFi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2" fillId="0" borderId="0" xfId="0" applyFont="1"/>
    <xf numFmtId="0" fontId="13" fillId="0" borderId="0" xfId="0" applyFont="1"/>
    <xf numFmtId="43" fontId="7" fillId="0" borderId="0" xfId="0" applyNumberFormat="1" applyFont="1"/>
    <xf numFmtId="43" fontId="13" fillId="0" borderId="0" xfId="0" applyNumberFormat="1" applyFont="1"/>
    <xf numFmtId="0" fontId="14" fillId="0" borderId="0" xfId="0" applyFont="1" applyAlignment="1"/>
    <xf numFmtId="0" fontId="15" fillId="0" borderId="0" xfId="0" applyFont="1"/>
    <xf numFmtId="0" fontId="15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3" borderId="1" xfId="0" applyFill="1" applyBorder="1"/>
    <xf numFmtId="0" fontId="16" fillId="0" borderId="1" xfId="0" applyFont="1" applyFill="1" applyBorder="1"/>
    <xf numFmtId="2" fontId="0" fillId="0" borderId="1" xfId="0" applyNumberFormat="1" applyFill="1" applyBorder="1"/>
    <xf numFmtId="9" fontId="0" fillId="0" borderId="1" xfId="0" applyNumberFormat="1" applyFill="1" applyBorder="1"/>
    <xf numFmtId="2" fontId="0" fillId="0" borderId="1" xfId="0" applyNumberFormat="1" applyBorder="1" applyAlignment="1"/>
    <xf numFmtId="2" fontId="17" fillId="0" borderId="1" xfId="0" applyNumberFormat="1" applyFont="1" applyBorder="1" applyAlignment="1"/>
    <xf numFmtId="2" fontId="0" fillId="0" borderId="1" xfId="0" applyNumberFormat="1" applyBorder="1"/>
    <xf numFmtId="166" fontId="0" fillId="0" borderId="1" xfId="0" applyNumberFormat="1" applyFill="1" applyBorder="1"/>
    <xf numFmtId="0" fontId="0" fillId="0" borderId="0" xfId="0" applyFill="1"/>
    <xf numFmtId="166" fontId="0" fillId="0" borderId="0" xfId="0" applyNumberFormat="1" applyFill="1"/>
    <xf numFmtId="0" fontId="16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1" xfId="0" applyBorder="1" applyAlignment="1"/>
    <xf numFmtId="166" fontId="0" fillId="0" borderId="1" xfId="0" applyNumberFormat="1" applyBorder="1" applyAlignme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166" fontId="0" fillId="0" borderId="1" xfId="0" applyNumberFormat="1" applyBorder="1"/>
    <xf numFmtId="2" fontId="17" fillId="0" borderId="1" xfId="0" applyNumberFormat="1" applyFont="1" applyBorder="1"/>
    <xf numFmtId="0" fontId="1" fillId="0" borderId="1" xfId="0" applyFont="1" applyBorder="1" applyAlignment="1">
      <alignment wrapText="1"/>
    </xf>
    <xf numFmtId="166" fontId="0" fillId="0" borderId="0" xfId="0" applyNumberFormat="1" applyAlignment="1"/>
    <xf numFmtId="166" fontId="0" fillId="0" borderId="0" xfId="0" applyNumberFormat="1"/>
    <xf numFmtId="0" fontId="18" fillId="0" borderId="0" xfId="0" applyFont="1" applyAlignment="1">
      <alignment horizontal="left"/>
    </xf>
    <xf numFmtId="0" fontId="0" fillId="0" borderId="0" xfId="0" applyFont="1"/>
    <xf numFmtId="0" fontId="18" fillId="0" borderId="0" xfId="0" applyFont="1" applyBorder="1" applyAlignment="1">
      <alignment horizontal="center"/>
    </xf>
    <xf numFmtId="0" fontId="18" fillId="0" borderId="0" xfId="0" applyFont="1" applyAlignment="1">
      <alignment textRotation="9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3" fontId="0" fillId="0" borderId="0" xfId="0" applyNumberFormat="1" applyBorder="1"/>
    <xf numFmtId="0" fontId="9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 shrinkToFit="1"/>
    </xf>
    <xf numFmtId="0" fontId="0" fillId="2" borderId="8" xfId="0" applyFill="1" applyBorder="1" applyAlignment="1">
      <alignment horizontal="center" wrapText="1" shrinkToFit="1"/>
    </xf>
    <xf numFmtId="0" fontId="0" fillId="2" borderId="9" xfId="0" applyFill="1" applyBorder="1" applyAlignment="1">
      <alignment horizontal="center" wrapText="1" shrinkToFit="1"/>
    </xf>
    <xf numFmtId="0" fontId="0" fillId="2" borderId="10" xfId="0" applyFill="1" applyBorder="1" applyAlignment="1">
      <alignment horizontal="center" wrapText="1" shrinkToFi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 shrinkToFi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29"/>
  <sheetViews>
    <sheetView tabSelected="1" view="pageBreakPreview" topLeftCell="A13" zoomScale="68" zoomScaleSheetLayoutView="68" workbookViewId="0">
      <selection activeCell="Q22" sqref="Q22"/>
    </sheetView>
  </sheetViews>
  <sheetFormatPr defaultRowHeight="12.75" x14ac:dyDescent="0.2"/>
  <cols>
    <col min="1" max="1" width="5.28515625" customWidth="1"/>
    <col min="2" max="2" width="18.42578125" customWidth="1"/>
    <col min="3" max="3" width="17.85546875" customWidth="1"/>
    <col min="4" max="4" width="9.28515625" bestFit="1" customWidth="1"/>
    <col min="6" max="6" width="12.7109375" bestFit="1" customWidth="1"/>
    <col min="7" max="7" width="0.85546875" customWidth="1"/>
    <col min="8" max="8" width="7.42578125" hidden="1" customWidth="1"/>
    <col min="9" max="9" width="9.5703125" hidden="1" customWidth="1"/>
    <col min="10" max="10" width="8.28515625" hidden="1" customWidth="1"/>
    <col min="11" max="11" width="8" hidden="1" customWidth="1"/>
    <col min="12" max="12" width="6.7109375" hidden="1" customWidth="1"/>
    <col min="13" max="13" width="6" hidden="1" customWidth="1"/>
    <col min="14" max="14" width="6.7109375" hidden="1" customWidth="1"/>
    <col min="15" max="15" width="9.42578125" bestFit="1" customWidth="1"/>
    <col min="16" max="18" width="12.85546875" customWidth="1"/>
    <col min="19" max="19" width="7.28515625" customWidth="1"/>
    <col min="20" max="20" width="12.140625" customWidth="1"/>
    <col min="21" max="21" width="7.5703125" customWidth="1"/>
    <col min="22" max="22" width="9" customWidth="1"/>
    <col min="23" max="23" width="9.42578125" bestFit="1" customWidth="1"/>
    <col min="24" max="24" width="11.5703125" bestFit="1" customWidth="1"/>
    <col min="25" max="25" width="12.7109375" customWidth="1"/>
    <col min="26" max="26" width="13.28515625" customWidth="1"/>
    <col min="27" max="27" width="12.7109375" customWidth="1"/>
    <col min="28" max="28" width="15.85546875" customWidth="1"/>
    <col min="29" max="29" width="13.42578125" customWidth="1"/>
    <col min="30" max="30" width="13.5703125" customWidth="1"/>
    <col min="31" max="31" width="13.42578125" customWidth="1"/>
    <col min="32" max="32" width="17.7109375" customWidth="1"/>
    <col min="33" max="33" width="16.28515625" customWidth="1"/>
  </cols>
  <sheetData>
    <row r="1" spans="1:31" ht="37.5" customHeight="1" x14ac:dyDescent="0.25">
      <c r="C1" s="45" t="s">
        <v>30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6"/>
      <c r="X1" s="47"/>
      <c r="Y1" s="47"/>
      <c r="Z1" s="3"/>
      <c r="AA1" s="3"/>
      <c r="AD1" s="3" t="s">
        <v>0</v>
      </c>
      <c r="AE1" s="3"/>
    </row>
    <row r="2" spans="1:31" x14ac:dyDescent="0.2">
      <c r="K2" s="1" t="s">
        <v>1</v>
      </c>
    </row>
    <row r="3" spans="1:31" x14ac:dyDescent="0.2">
      <c r="K3" s="1"/>
      <c r="W3" s="11" t="s">
        <v>2</v>
      </c>
      <c r="X3" s="11"/>
      <c r="Y3" s="11"/>
      <c r="Z3" s="11"/>
      <c r="AA3" s="24"/>
      <c r="AB3" s="86" t="s">
        <v>29</v>
      </c>
      <c r="AC3" s="86"/>
      <c r="AD3" s="86"/>
      <c r="AE3" s="86"/>
    </row>
    <row r="4" spans="1:31" ht="39" customHeight="1" x14ac:dyDescent="0.2">
      <c r="U4" t="s">
        <v>3</v>
      </c>
      <c r="W4" s="97" t="s">
        <v>82</v>
      </c>
      <c r="X4" s="97"/>
      <c r="Y4" s="97"/>
      <c r="Z4" s="97"/>
      <c r="AA4" s="2"/>
      <c r="AB4" s="2"/>
      <c r="AC4" s="2"/>
      <c r="AD4" s="2"/>
      <c r="AE4" s="2"/>
    </row>
    <row r="5" spans="1:31" ht="14.25" x14ac:dyDescent="0.2">
      <c r="J5" s="89"/>
      <c r="K5" s="89"/>
      <c r="L5" s="89"/>
      <c r="M5" s="89"/>
      <c r="W5" s="2" t="s">
        <v>36</v>
      </c>
      <c r="X5" s="2"/>
      <c r="Y5" s="2"/>
      <c r="Z5" s="2"/>
      <c r="AA5" s="2"/>
      <c r="AB5" s="2"/>
      <c r="AC5" s="2"/>
      <c r="AD5" s="2"/>
      <c r="AE5" s="2"/>
    </row>
    <row r="6" spans="1:31" ht="18" x14ac:dyDescent="0.25">
      <c r="O6" s="45" t="s">
        <v>4</v>
      </c>
      <c r="P6" s="45"/>
      <c r="Q6" s="45"/>
      <c r="R6" s="18"/>
      <c r="S6" s="3"/>
      <c r="X6" s="4"/>
      <c r="Y6" s="4"/>
      <c r="Z6" s="4"/>
    </row>
    <row r="7" spans="1:31" ht="15" x14ac:dyDescent="0.25">
      <c r="O7" s="5"/>
      <c r="P7" s="6" t="s">
        <v>81</v>
      </c>
      <c r="Q7" s="5"/>
      <c r="R7" s="5"/>
      <c r="X7" s="4"/>
      <c r="Y7" s="4"/>
      <c r="Z7" s="4"/>
    </row>
    <row r="8" spans="1:31" ht="25.5" customHeight="1" x14ac:dyDescent="0.2"/>
    <row r="9" spans="1:31" ht="25.5" customHeight="1" x14ac:dyDescent="0.2">
      <c r="A9" s="98" t="s">
        <v>5</v>
      </c>
      <c r="B9" s="90" t="s">
        <v>6</v>
      </c>
      <c r="C9" s="98" t="s">
        <v>7</v>
      </c>
      <c r="D9" s="98" t="s">
        <v>45</v>
      </c>
      <c r="E9" s="98" t="s">
        <v>8</v>
      </c>
      <c r="F9" s="90" t="s">
        <v>9</v>
      </c>
      <c r="G9" s="91" t="s">
        <v>10</v>
      </c>
      <c r="H9" s="91"/>
      <c r="I9" s="91"/>
      <c r="J9" s="91"/>
      <c r="K9" s="91"/>
      <c r="L9" s="91"/>
      <c r="M9" s="91"/>
      <c r="N9" s="91"/>
      <c r="O9" s="91" t="s">
        <v>11</v>
      </c>
      <c r="P9" s="91"/>
      <c r="Q9" s="91"/>
      <c r="R9" s="91"/>
      <c r="S9" s="91"/>
      <c r="T9" s="91"/>
      <c r="U9" s="91"/>
      <c r="V9" s="91"/>
      <c r="W9" s="90" t="s">
        <v>12</v>
      </c>
      <c r="X9" s="90"/>
      <c r="Y9" s="32"/>
      <c r="Z9" s="32"/>
      <c r="AA9" s="91" t="s">
        <v>13</v>
      </c>
      <c r="AB9" s="102" t="s">
        <v>14</v>
      </c>
      <c r="AC9" s="90" t="s">
        <v>15</v>
      </c>
      <c r="AD9" s="35"/>
      <c r="AE9" s="36"/>
    </row>
    <row r="10" spans="1:31" x14ac:dyDescent="0.2">
      <c r="A10" s="99"/>
      <c r="B10" s="90"/>
      <c r="C10" s="99"/>
      <c r="D10" s="99"/>
      <c r="E10" s="99"/>
      <c r="F10" s="90"/>
      <c r="G10" s="91" t="s">
        <v>16</v>
      </c>
      <c r="H10" s="91"/>
      <c r="I10" s="92" t="s">
        <v>17</v>
      </c>
      <c r="J10" s="93"/>
      <c r="K10" s="96" t="s">
        <v>18</v>
      </c>
      <c r="L10" s="96"/>
      <c r="M10" s="90" t="s">
        <v>19</v>
      </c>
      <c r="N10" s="90"/>
      <c r="O10" s="103" t="s">
        <v>20</v>
      </c>
      <c r="P10" s="104"/>
      <c r="Q10" s="31"/>
      <c r="R10" s="31"/>
      <c r="S10" s="92" t="s">
        <v>21</v>
      </c>
      <c r="T10" s="93"/>
      <c r="U10" s="107" t="s">
        <v>22</v>
      </c>
      <c r="V10" s="108"/>
      <c r="W10" s="91" t="s">
        <v>23</v>
      </c>
      <c r="X10" s="91"/>
      <c r="Y10" s="33"/>
      <c r="Z10" s="33"/>
      <c r="AA10" s="91"/>
      <c r="AB10" s="102"/>
      <c r="AC10" s="90"/>
      <c r="AD10" s="37"/>
      <c r="AE10" s="38"/>
    </row>
    <row r="11" spans="1:31" ht="63.75" customHeight="1" x14ac:dyDescent="0.2">
      <c r="A11" s="99"/>
      <c r="B11" s="90"/>
      <c r="C11" s="99"/>
      <c r="D11" s="99"/>
      <c r="E11" s="99"/>
      <c r="F11" s="90"/>
      <c r="G11" s="91"/>
      <c r="H11" s="91"/>
      <c r="I11" s="94"/>
      <c r="J11" s="95"/>
      <c r="K11" s="96"/>
      <c r="L11" s="96"/>
      <c r="M11" s="90"/>
      <c r="N11" s="90"/>
      <c r="O11" s="105"/>
      <c r="P11" s="106"/>
      <c r="Q11" s="111" t="s">
        <v>39</v>
      </c>
      <c r="R11" s="106"/>
      <c r="S11" s="94"/>
      <c r="T11" s="95"/>
      <c r="U11" s="109"/>
      <c r="V11" s="110"/>
      <c r="W11" s="91"/>
      <c r="X11" s="91"/>
      <c r="Y11" s="33"/>
      <c r="Z11" s="33"/>
      <c r="AA11" s="91"/>
      <c r="AB11" s="102"/>
      <c r="AC11" s="90"/>
      <c r="AD11" s="87" t="s">
        <v>48</v>
      </c>
      <c r="AE11" s="88"/>
    </row>
    <row r="12" spans="1:31" ht="62.25" customHeight="1" x14ac:dyDescent="0.2">
      <c r="A12" s="100"/>
      <c r="B12" s="90"/>
      <c r="C12" s="100"/>
      <c r="D12" s="100"/>
      <c r="E12" s="100"/>
      <c r="F12" s="90"/>
      <c r="G12" s="27" t="s">
        <v>24</v>
      </c>
      <c r="H12" s="26" t="s">
        <v>25</v>
      </c>
      <c r="I12" s="27" t="s">
        <v>24</v>
      </c>
      <c r="J12" s="26" t="s">
        <v>25</v>
      </c>
      <c r="K12" s="27" t="s">
        <v>24</v>
      </c>
      <c r="L12" s="26" t="s">
        <v>25</v>
      </c>
      <c r="M12" s="27" t="s">
        <v>24</v>
      </c>
      <c r="N12" s="26" t="s">
        <v>25</v>
      </c>
      <c r="O12" s="27" t="s">
        <v>24</v>
      </c>
      <c r="P12" s="26" t="s">
        <v>25</v>
      </c>
      <c r="Q12" s="30" t="s">
        <v>24</v>
      </c>
      <c r="R12" s="29" t="s">
        <v>25</v>
      </c>
      <c r="S12" s="27" t="s">
        <v>24</v>
      </c>
      <c r="T12" s="26" t="s">
        <v>25</v>
      </c>
      <c r="U12" s="27" t="s">
        <v>24</v>
      </c>
      <c r="V12" s="26" t="s">
        <v>25</v>
      </c>
      <c r="W12" s="27" t="s">
        <v>24</v>
      </c>
      <c r="X12" s="26" t="s">
        <v>25</v>
      </c>
      <c r="Y12" s="34" t="s">
        <v>43</v>
      </c>
      <c r="Z12" s="34" t="s">
        <v>44</v>
      </c>
      <c r="AA12" s="91"/>
      <c r="AB12" s="102"/>
      <c r="AC12" s="90"/>
      <c r="AD12" s="39"/>
      <c r="AE12" s="40"/>
    </row>
    <row r="13" spans="1:31" s="2" customFormat="1" ht="12" x14ac:dyDescent="0.2">
      <c r="A13" s="22">
        <v>1</v>
      </c>
      <c r="B13" s="22">
        <v>2</v>
      </c>
      <c r="C13" s="22">
        <v>3</v>
      </c>
      <c r="D13" s="22">
        <v>4</v>
      </c>
      <c r="E13" s="22">
        <v>4</v>
      </c>
      <c r="F13" s="22">
        <v>7</v>
      </c>
      <c r="G13" s="22">
        <v>8</v>
      </c>
      <c r="H13" s="22">
        <v>9</v>
      </c>
      <c r="I13" s="22">
        <v>10</v>
      </c>
      <c r="J13" s="22">
        <v>11</v>
      </c>
      <c r="K13" s="22">
        <v>12</v>
      </c>
      <c r="L13" s="22">
        <v>13</v>
      </c>
      <c r="M13" s="22">
        <v>14</v>
      </c>
      <c r="N13" s="22">
        <v>15</v>
      </c>
      <c r="O13" s="22">
        <v>16</v>
      </c>
      <c r="P13" s="22">
        <v>17</v>
      </c>
      <c r="Q13" s="22"/>
      <c r="R13" s="22"/>
      <c r="S13" s="22">
        <v>18</v>
      </c>
      <c r="T13" s="22">
        <v>19</v>
      </c>
      <c r="U13" s="22">
        <v>20</v>
      </c>
      <c r="V13" s="22">
        <v>21</v>
      </c>
      <c r="W13" s="22">
        <v>22</v>
      </c>
      <c r="X13" s="22">
        <v>23</v>
      </c>
      <c r="Y13" s="22"/>
      <c r="Z13" s="22">
        <v>12130</v>
      </c>
      <c r="AA13" s="22">
        <v>24</v>
      </c>
      <c r="AB13" s="22">
        <v>25</v>
      </c>
      <c r="AC13" s="22">
        <v>26</v>
      </c>
      <c r="AD13" s="22">
        <v>25</v>
      </c>
      <c r="AE13" s="22">
        <v>26</v>
      </c>
    </row>
    <row r="14" spans="1:3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9"/>
      <c r="AC14" s="8"/>
      <c r="AD14" s="9"/>
      <c r="AE14" s="8"/>
    </row>
    <row r="15" spans="1:31" x14ac:dyDescent="0.2">
      <c r="A15" s="8"/>
      <c r="B15" s="8"/>
      <c r="C15" s="8"/>
      <c r="D15" s="8"/>
      <c r="E15" s="8"/>
      <c r="F15" s="8"/>
      <c r="G15" s="8"/>
      <c r="H15" s="9" t="s">
        <v>31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9"/>
      <c r="AC15" s="8"/>
      <c r="AD15" s="9"/>
      <c r="AE15" s="8"/>
    </row>
    <row r="16" spans="1:31" ht="51" customHeight="1" x14ac:dyDescent="0.25">
      <c r="A16" s="7">
        <v>1</v>
      </c>
      <c r="B16" s="12" t="s">
        <v>32</v>
      </c>
      <c r="C16" s="14" t="s">
        <v>41</v>
      </c>
      <c r="D16" s="12">
        <v>3943</v>
      </c>
      <c r="E16" s="12">
        <v>1</v>
      </c>
      <c r="F16" s="15">
        <f>D16*E16</f>
        <v>3943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12">
        <v>0.35</v>
      </c>
      <c r="X16" s="15">
        <f t="shared" ref="X16:X22" si="0">F16*W16</f>
        <v>1380.05</v>
      </c>
      <c r="Y16" s="15">
        <f t="shared" ref="Y16:Y17" si="1">F16+P16+R16+T16+X16</f>
        <v>5323.05</v>
      </c>
      <c r="Z16" s="15">
        <f>Z13*E16-Y16</f>
        <v>6806.95</v>
      </c>
      <c r="AA16" s="15">
        <f>Y16+Z16</f>
        <v>12130</v>
      </c>
      <c r="AB16" s="23">
        <f>AA16*2</f>
        <v>24260</v>
      </c>
      <c r="AC16" s="15">
        <f>F16</f>
        <v>3943</v>
      </c>
      <c r="AD16" s="23">
        <v>0</v>
      </c>
      <c r="AE16" s="15">
        <f>(AB16-X16-X16)/29.3*AD16</f>
        <v>0</v>
      </c>
    </row>
    <row r="17" spans="1:33" ht="52.5" customHeight="1" x14ac:dyDescent="0.25">
      <c r="A17" s="7">
        <v>2</v>
      </c>
      <c r="B17" s="13" t="s">
        <v>33</v>
      </c>
      <c r="C17" s="14" t="s">
        <v>42</v>
      </c>
      <c r="D17" s="12">
        <v>4447</v>
      </c>
      <c r="E17" s="12">
        <v>1</v>
      </c>
      <c r="F17" s="15">
        <f t="shared" ref="F17:F22" si="2">D17*E17</f>
        <v>4447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>
        <v>0.12</v>
      </c>
      <c r="T17" s="28">
        <f>F17*S17</f>
        <v>533.64</v>
      </c>
      <c r="U17" s="8"/>
      <c r="V17" s="8"/>
      <c r="W17" s="12">
        <v>0.35</v>
      </c>
      <c r="X17" s="15">
        <f t="shared" si="0"/>
        <v>1556.4499999999998</v>
      </c>
      <c r="Y17" s="15">
        <f t="shared" si="1"/>
        <v>6537.09</v>
      </c>
      <c r="Z17" s="15">
        <f>Z13*E17-Y17</f>
        <v>5592.91</v>
      </c>
      <c r="AA17" s="15">
        <f t="shared" ref="AA17:AA22" si="3">Y17+Z17</f>
        <v>12130</v>
      </c>
      <c r="AB17" s="23">
        <f t="shared" ref="AB17:AB22" si="4">AA17*2</f>
        <v>24260</v>
      </c>
      <c r="AC17" s="15">
        <f t="shared" ref="AC17:AC22" si="5">F17</f>
        <v>4447</v>
      </c>
      <c r="AD17" s="23">
        <v>0</v>
      </c>
      <c r="AE17" s="15">
        <f t="shared" ref="AE17:AE22" si="6">(AB17-X17-X17)/29.3*AD17</f>
        <v>0</v>
      </c>
    </row>
    <row r="18" spans="1:33" ht="49.5" customHeight="1" x14ac:dyDescent="0.25">
      <c r="A18" s="7">
        <v>3</v>
      </c>
      <c r="B18" s="14" t="s">
        <v>34</v>
      </c>
      <c r="C18" s="14" t="s">
        <v>46</v>
      </c>
      <c r="D18" s="12">
        <v>4447</v>
      </c>
      <c r="E18" s="12">
        <v>1</v>
      </c>
      <c r="F18" s="15">
        <f t="shared" si="2"/>
        <v>4447</v>
      </c>
      <c r="G18" s="8"/>
      <c r="H18" s="8"/>
      <c r="I18" s="8"/>
      <c r="J18" s="8"/>
      <c r="K18" s="8"/>
      <c r="L18" s="8"/>
      <c r="M18" s="8"/>
      <c r="N18" s="8"/>
      <c r="O18" s="8">
        <v>0.35</v>
      </c>
      <c r="P18" s="25">
        <v>575.71</v>
      </c>
      <c r="Q18" s="25">
        <v>1</v>
      </c>
      <c r="R18" s="25">
        <v>188.76</v>
      </c>
      <c r="S18" s="8">
        <v>0.12</v>
      </c>
      <c r="T18" s="28">
        <f>F18*S18</f>
        <v>533.64</v>
      </c>
      <c r="U18" s="8"/>
      <c r="V18" s="8"/>
      <c r="W18" s="12"/>
      <c r="X18" s="15">
        <f t="shared" si="0"/>
        <v>0</v>
      </c>
      <c r="Y18" s="15">
        <f>F18+P18+R18+T18+X18</f>
        <v>5745.1100000000006</v>
      </c>
      <c r="Z18" s="15">
        <f>Z13*E18-Y18</f>
        <v>6384.8899999999994</v>
      </c>
      <c r="AA18" s="15">
        <f t="shared" si="3"/>
        <v>12130</v>
      </c>
      <c r="AB18" s="23">
        <f t="shared" si="4"/>
        <v>24260</v>
      </c>
      <c r="AC18" s="15">
        <f t="shared" si="5"/>
        <v>4447</v>
      </c>
      <c r="AD18" s="23">
        <v>0</v>
      </c>
      <c r="AE18" s="15">
        <f t="shared" si="6"/>
        <v>0</v>
      </c>
    </row>
    <row r="19" spans="1:33" ht="28.5" x14ac:dyDescent="0.25">
      <c r="A19" s="8">
        <v>4</v>
      </c>
      <c r="B19" s="14" t="s">
        <v>34</v>
      </c>
      <c r="C19" s="14" t="s">
        <v>51</v>
      </c>
      <c r="D19" s="12">
        <v>4447</v>
      </c>
      <c r="E19" s="12">
        <v>1</v>
      </c>
      <c r="F19" s="15">
        <f t="shared" si="2"/>
        <v>4447</v>
      </c>
      <c r="G19" s="8"/>
      <c r="H19" s="8"/>
      <c r="I19" s="8"/>
      <c r="J19" s="8"/>
      <c r="K19" s="8"/>
      <c r="L19" s="8"/>
      <c r="M19" s="8"/>
      <c r="N19" s="8"/>
      <c r="O19" s="8">
        <v>0.35</v>
      </c>
      <c r="P19" s="25">
        <v>575.71</v>
      </c>
      <c r="Q19" s="25">
        <v>1</v>
      </c>
      <c r="R19" s="25">
        <v>188.76</v>
      </c>
      <c r="S19" s="8">
        <v>0.12</v>
      </c>
      <c r="T19" s="28">
        <f t="shared" ref="T19:T21" si="7">F19*S19</f>
        <v>533.64</v>
      </c>
      <c r="U19" s="8"/>
      <c r="V19" s="8"/>
      <c r="W19" s="12"/>
      <c r="X19" s="15">
        <f t="shared" si="0"/>
        <v>0</v>
      </c>
      <c r="Y19" s="15">
        <f t="shared" ref="Y19:Y22" si="8">F19+P19+R19+T19+X19</f>
        <v>5745.1100000000006</v>
      </c>
      <c r="Z19" s="15">
        <f>Z13*E19-Y19</f>
        <v>6384.8899999999994</v>
      </c>
      <c r="AA19" s="15">
        <f t="shared" si="3"/>
        <v>12130</v>
      </c>
      <c r="AB19" s="23">
        <f t="shared" si="4"/>
        <v>24260</v>
      </c>
      <c r="AC19" s="15">
        <f t="shared" si="5"/>
        <v>4447</v>
      </c>
      <c r="AD19" s="23">
        <v>0</v>
      </c>
      <c r="AE19" s="15">
        <f t="shared" si="6"/>
        <v>0</v>
      </c>
    </row>
    <row r="20" spans="1:33" ht="50.25" customHeight="1" x14ac:dyDescent="0.25">
      <c r="A20" s="8">
        <v>5</v>
      </c>
      <c r="B20" s="14" t="s">
        <v>34</v>
      </c>
      <c r="C20" s="14" t="s">
        <v>40</v>
      </c>
      <c r="D20" s="12">
        <v>4447</v>
      </c>
      <c r="E20" s="12">
        <v>1</v>
      </c>
      <c r="F20" s="15">
        <f t="shared" si="2"/>
        <v>4447</v>
      </c>
      <c r="G20" s="8"/>
      <c r="H20" s="8"/>
      <c r="I20" s="8"/>
      <c r="J20" s="8"/>
      <c r="K20" s="8"/>
      <c r="L20" s="8"/>
      <c r="M20" s="8"/>
      <c r="N20" s="8"/>
      <c r="O20" s="8">
        <v>0.35</v>
      </c>
      <c r="P20" s="25">
        <v>575.71</v>
      </c>
      <c r="Q20" s="25">
        <v>1</v>
      </c>
      <c r="R20" s="25">
        <v>188.76</v>
      </c>
      <c r="S20" s="8">
        <v>0.12</v>
      </c>
      <c r="T20" s="28">
        <f t="shared" si="7"/>
        <v>533.64</v>
      </c>
      <c r="U20" s="8"/>
      <c r="V20" s="8"/>
      <c r="W20" s="12"/>
      <c r="X20" s="15">
        <f t="shared" si="0"/>
        <v>0</v>
      </c>
      <c r="Y20" s="15">
        <f t="shared" si="8"/>
        <v>5745.1100000000006</v>
      </c>
      <c r="Z20" s="15">
        <f>Z13*E20-Y20</f>
        <v>6384.8899999999994</v>
      </c>
      <c r="AA20" s="15">
        <f t="shared" si="3"/>
        <v>12130</v>
      </c>
      <c r="AB20" s="23">
        <f t="shared" si="4"/>
        <v>24260</v>
      </c>
      <c r="AC20" s="15">
        <f t="shared" si="5"/>
        <v>4447</v>
      </c>
      <c r="AD20" s="23">
        <v>0</v>
      </c>
      <c r="AE20" s="15">
        <f t="shared" si="6"/>
        <v>0</v>
      </c>
    </row>
    <row r="21" spans="1:33" ht="29.25" x14ac:dyDescent="0.25">
      <c r="A21" s="8">
        <v>6</v>
      </c>
      <c r="B21" s="13" t="s">
        <v>34</v>
      </c>
      <c r="C21" s="14" t="s">
        <v>52</v>
      </c>
      <c r="D21" s="12">
        <v>4447</v>
      </c>
      <c r="E21" s="12">
        <v>1</v>
      </c>
      <c r="F21" s="15">
        <f t="shared" si="2"/>
        <v>4447</v>
      </c>
      <c r="G21" s="8"/>
      <c r="H21" s="8"/>
      <c r="I21" s="8"/>
      <c r="J21" s="8"/>
      <c r="K21" s="8"/>
      <c r="L21" s="8"/>
      <c r="M21" s="8"/>
      <c r="N21" s="8"/>
      <c r="O21" s="8">
        <v>0.35</v>
      </c>
      <c r="P21" s="25">
        <v>575.71</v>
      </c>
      <c r="Q21" s="25">
        <v>1</v>
      </c>
      <c r="R21" s="25">
        <v>188.76</v>
      </c>
      <c r="S21" s="8">
        <v>0.12</v>
      </c>
      <c r="T21" s="28">
        <f t="shared" si="7"/>
        <v>533.64</v>
      </c>
      <c r="U21" s="8"/>
      <c r="V21" s="8"/>
      <c r="W21" s="12"/>
      <c r="X21" s="15">
        <f>F21*W21</f>
        <v>0</v>
      </c>
      <c r="Y21" s="15">
        <f t="shared" si="8"/>
        <v>5745.1100000000006</v>
      </c>
      <c r="Z21" s="15">
        <f>Z13*E21-Y21</f>
        <v>6384.8899999999994</v>
      </c>
      <c r="AA21" s="15">
        <f t="shared" si="3"/>
        <v>12130</v>
      </c>
      <c r="AB21" s="23">
        <f t="shared" si="4"/>
        <v>24260</v>
      </c>
      <c r="AC21" s="15">
        <f t="shared" si="5"/>
        <v>4447</v>
      </c>
      <c r="AD21" s="23">
        <v>0</v>
      </c>
      <c r="AE21" s="15">
        <f t="shared" si="6"/>
        <v>0</v>
      </c>
      <c r="AF21" s="41" t="s">
        <v>49</v>
      </c>
      <c r="AG21" t="s">
        <v>50</v>
      </c>
    </row>
    <row r="22" spans="1:33" ht="29.25" x14ac:dyDescent="0.25">
      <c r="A22" s="8">
        <v>7</v>
      </c>
      <c r="B22" s="13" t="s">
        <v>35</v>
      </c>
      <c r="C22" s="14" t="s">
        <v>38</v>
      </c>
      <c r="D22" s="12">
        <v>3943</v>
      </c>
      <c r="E22" s="12">
        <v>0.5</v>
      </c>
      <c r="F22" s="15">
        <f t="shared" si="2"/>
        <v>1971.5</v>
      </c>
      <c r="G22" s="8"/>
      <c r="H22" s="8"/>
      <c r="I22" s="8"/>
      <c r="J22" s="8"/>
      <c r="K22" s="8"/>
      <c r="L22" s="8"/>
      <c r="M22" s="8"/>
      <c r="N22" s="8"/>
      <c r="O22" s="8"/>
      <c r="P22" s="25"/>
      <c r="Q22" s="25"/>
      <c r="R22" s="25"/>
      <c r="S22" s="8"/>
      <c r="T22" s="8"/>
      <c r="U22" s="8"/>
      <c r="V22" s="8"/>
      <c r="W22" s="12">
        <v>0.35</v>
      </c>
      <c r="X22" s="15">
        <f t="shared" si="0"/>
        <v>690.02499999999998</v>
      </c>
      <c r="Y22" s="15">
        <f t="shared" si="8"/>
        <v>2661.5250000000001</v>
      </c>
      <c r="Z22" s="15">
        <f>Z13*E22-Y22</f>
        <v>3403.4749999999999</v>
      </c>
      <c r="AA22" s="15">
        <f t="shared" si="3"/>
        <v>6065</v>
      </c>
      <c r="AB22" s="23">
        <f t="shared" si="4"/>
        <v>12130</v>
      </c>
      <c r="AC22" s="15">
        <f t="shared" si="5"/>
        <v>1971.5</v>
      </c>
      <c r="AD22" s="23">
        <v>0</v>
      </c>
      <c r="AE22" s="15">
        <f t="shared" si="6"/>
        <v>0</v>
      </c>
      <c r="AF22" s="42"/>
      <c r="AG22" s="43"/>
    </row>
    <row r="23" spans="1:33" s="16" customFormat="1" ht="15" x14ac:dyDescent="0.25">
      <c r="A23" s="20"/>
      <c r="B23" s="20" t="s">
        <v>26</v>
      </c>
      <c r="C23" s="20"/>
      <c r="D23" s="20">
        <f>SUM(D16:D22)</f>
        <v>30121</v>
      </c>
      <c r="E23" s="20">
        <f>SUM(E16:E22)</f>
        <v>6.5</v>
      </c>
      <c r="F23" s="21">
        <f t="shared" ref="F23:N23" si="9">SUM(F16:F22)</f>
        <v>28149.5</v>
      </c>
      <c r="G23" s="21">
        <f t="shared" si="9"/>
        <v>0</v>
      </c>
      <c r="H23" s="21">
        <f t="shared" si="9"/>
        <v>0</v>
      </c>
      <c r="I23" s="21">
        <f t="shared" si="9"/>
        <v>0</v>
      </c>
      <c r="J23" s="21">
        <f t="shared" si="9"/>
        <v>0</v>
      </c>
      <c r="K23" s="21">
        <f t="shared" si="9"/>
        <v>0</v>
      </c>
      <c r="L23" s="21">
        <f t="shared" si="9"/>
        <v>0</v>
      </c>
      <c r="M23" s="21">
        <f t="shared" si="9"/>
        <v>0</v>
      </c>
      <c r="N23" s="21">
        <f t="shared" si="9"/>
        <v>0</v>
      </c>
      <c r="O23" s="21"/>
      <c r="P23" s="21">
        <f>SUM(P16:P22)</f>
        <v>2302.84</v>
      </c>
      <c r="Q23" s="21"/>
      <c r="R23" s="21">
        <f>SUM(R16:R22)</f>
        <v>755.04</v>
      </c>
      <c r="S23" s="21">
        <f>SUM(S16:S22)</f>
        <v>0.6</v>
      </c>
      <c r="T23" s="21">
        <f>SUM(T16:T22)</f>
        <v>2668.2</v>
      </c>
      <c r="U23" s="21">
        <f>SUM(U16:U22)</f>
        <v>0</v>
      </c>
      <c r="V23" s="21">
        <f>SUM(V16:V22)</f>
        <v>0</v>
      </c>
      <c r="W23" s="21"/>
      <c r="X23" s="21">
        <f t="shared" ref="X23:AC23" si="10">SUM(X16:X22)</f>
        <v>3626.5250000000001</v>
      </c>
      <c r="Y23" s="21">
        <f t="shared" si="10"/>
        <v>37502.105000000003</v>
      </c>
      <c r="Z23" s="21">
        <f t="shared" si="10"/>
        <v>41342.894999999997</v>
      </c>
      <c r="AA23" s="21">
        <f t="shared" si="10"/>
        <v>78845</v>
      </c>
      <c r="AB23" s="21">
        <f t="shared" si="10"/>
        <v>157690</v>
      </c>
      <c r="AC23" s="21">
        <f t="shared" si="10"/>
        <v>28149.5</v>
      </c>
      <c r="AD23" s="21"/>
      <c r="AE23" s="21">
        <f t="shared" ref="AE23" si="11">SUM(AE16:AE22)</f>
        <v>0</v>
      </c>
      <c r="AF23" s="44">
        <f>AB23*12+AC23</f>
        <v>1920429.5</v>
      </c>
      <c r="AG23" s="43">
        <f>AF23*1.302</f>
        <v>2500399.2090000003</v>
      </c>
    </row>
    <row r="24" spans="1:33" ht="6.75" customHeight="1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3" ht="66" customHeight="1" x14ac:dyDescent="0.2">
      <c r="A25" s="10"/>
      <c r="B25" s="17" t="s">
        <v>27</v>
      </c>
      <c r="C25" s="17"/>
      <c r="D25" s="17"/>
      <c r="E25" s="17"/>
      <c r="F25" s="101" t="s">
        <v>37</v>
      </c>
      <c r="G25" s="101"/>
      <c r="H25" s="101"/>
      <c r="I25" s="10"/>
      <c r="J25" s="5"/>
      <c r="K25" s="5" t="s">
        <v>47</v>
      </c>
      <c r="L25" s="10"/>
      <c r="M25" s="10"/>
      <c r="N25" s="10"/>
      <c r="O25" s="10"/>
      <c r="P25" s="10"/>
      <c r="Q25" s="5" t="s">
        <v>47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85">
        <f>(AB16+AB17+AB22)*12+(AB18+AB19+AB20+AB21)*8+AC23</f>
        <v>1532269.5</v>
      </c>
      <c r="AC25" s="10"/>
      <c r="AD25" s="10"/>
      <c r="AE25" s="10"/>
    </row>
    <row r="26" spans="1:33" ht="9.75" customHeight="1" x14ac:dyDescent="0.2">
      <c r="A26" s="10"/>
      <c r="B26" s="17"/>
      <c r="C26" s="17"/>
      <c r="D26" s="19" t="s">
        <v>28</v>
      </c>
      <c r="E26" s="17"/>
      <c r="F26" s="17"/>
      <c r="G26" s="17"/>
      <c r="H26" s="1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3" ht="23.25" customHeight="1" x14ac:dyDescent="0.2">
      <c r="C27" s="5"/>
      <c r="D27" s="5"/>
      <c r="E27" s="5"/>
      <c r="F27" s="5"/>
      <c r="G27" s="5"/>
      <c r="H27" s="5"/>
    </row>
    <row r="28" spans="1:33" ht="14.25" x14ac:dyDescent="0.2">
      <c r="B28" s="5"/>
      <c r="C28" s="5"/>
      <c r="D28" s="5"/>
      <c r="E28" s="5"/>
      <c r="F28" s="5"/>
      <c r="G28" s="5"/>
      <c r="H28" s="5"/>
    </row>
    <row r="29" spans="1:33" ht="14.25" x14ac:dyDescent="0.2">
      <c r="B29" s="5"/>
      <c r="C29" s="5"/>
      <c r="D29" s="5"/>
      <c r="E29" s="5"/>
      <c r="F29" s="5"/>
      <c r="G29" s="5"/>
      <c r="H29" s="5"/>
    </row>
  </sheetData>
  <mergeCells count="27">
    <mergeCell ref="F25:H25"/>
    <mergeCell ref="O9:V9"/>
    <mergeCell ref="W9:X9"/>
    <mergeCell ref="AA9:AA12"/>
    <mergeCell ref="AB9:AB12"/>
    <mergeCell ref="O10:P11"/>
    <mergeCell ref="S10:T11"/>
    <mergeCell ref="U10:V11"/>
    <mergeCell ref="W10:X11"/>
    <mergeCell ref="Q11:R11"/>
    <mergeCell ref="A9:A12"/>
    <mergeCell ref="B9:B12"/>
    <mergeCell ref="C9:C12"/>
    <mergeCell ref="D9:D12"/>
    <mergeCell ref="E9:E12"/>
    <mergeCell ref="AD3:AE3"/>
    <mergeCell ref="AD11:AE11"/>
    <mergeCell ref="AB3:AC3"/>
    <mergeCell ref="J5:M5"/>
    <mergeCell ref="F9:F12"/>
    <mergeCell ref="AC9:AC12"/>
    <mergeCell ref="G10:H11"/>
    <mergeCell ref="I10:J11"/>
    <mergeCell ref="K10:L11"/>
    <mergeCell ref="M10:N11"/>
    <mergeCell ref="G9:N9"/>
    <mergeCell ref="W4:Z4"/>
  </mergeCells>
  <pageMargins left="0.47244094488188981" right="0.23622047244094491" top="0.70866141732283472" bottom="0.39370078740157483" header="0.51181102362204722" footer="0.51181102362204722"/>
  <pageSetup paperSize="9" scale="5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E1" workbookViewId="0">
      <selection activeCell="M23" sqref="M23"/>
    </sheetView>
  </sheetViews>
  <sheetFormatPr defaultRowHeight="12.75" x14ac:dyDescent="0.2"/>
  <cols>
    <col min="7" max="7" width="11.140625" customWidth="1"/>
    <col min="263" max="263" width="11.140625" customWidth="1"/>
    <col min="519" max="519" width="11.140625" customWidth="1"/>
    <col min="775" max="775" width="11.140625" customWidth="1"/>
    <col min="1031" max="1031" width="11.140625" customWidth="1"/>
    <col min="1287" max="1287" width="11.140625" customWidth="1"/>
    <col min="1543" max="1543" width="11.140625" customWidth="1"/>
    <col min="1799" max="1799" width="11.140625" customWidth="1"/>
    <col min="2055" max="2055" width="11.140625" customWidth="1"/>
    <col min="2311" max="2311" width="11.140625" customWidth="1"/>
    <col min="2567" max="2567" width="11.140625" customWidth="1"/>
    <col min="2823" max="2823" width="11.140625" customWidth="1"/>
    <col min="3079" max="3079" width="11.140625" customWidth="1"/>
    <col min="3335" max="3335" width="11.140625" customWidth="1"/>
    <col min="3591" max="3591" width="11.140625" customWidth="1"/>
    <col min="3847" max="3847" width="11.140625" customWidth="1"/>
    <col min="4103" max="4103" width="11.140625" customWidth="1"/>
    <col min="4359" max="4359" width="11.140625" customWidth="1"/>
    <col min="4615" max="4615" width="11.140625" customWidth="1"/>
    <col min="4871" max="4871" width="11.140625" customWidth="1"/>
    <col min="5127" max="5127" width="11.140625" customWidth="1"/>
    <col min="5383" max="5383" width="11.140625" customWidth="1"/>
    <col min="5639" max="5639" width="11.140625" customWidth="1"/>
    <col min="5895" max="5895" width="11.140625" customWidth="1"/>
    <col min="6151" max="6151" width="11.140625" customWidth="1"/>
    <col min="6407" max="6407" width="11.140625" customWidth="1"/>
    <col min="6663" max="6663" width="11.140625" customWidth="1"/>
    <col min="6919" max="6919" width="11.140625" customWidth="1"/>
    <col min="7175" max="7175" width="11.140625" customWidth="1"/>
    <col min="7431" max="7431" width="11.140625" customWidth="1"/>
    <col min="7687" max="7687" width="11.140625" customWidth="1"/>
    <col min="7943" max="7943" width="11.140625" customWidth="1"/>
    <col min="8199" max="8199" width="11.140625" customWidth="1"/>
    <col min="8455" max="8455" width="11.140625" customWidth="1"/>
    <col min="8711" max="8711" width="11.140625" customWidth="1"/>
    <col min="8967" max="8967" width="11.140625" customWidth="1"/>
    <col min="9223" max="9223" width="11.140625" customWidth="1"/>
    <col min="9479" max="9479" width="11.140625" customWidth="1"/>
    <col min="9735" max="9735" width="11.140625" customWidth="1"/>
    <col min="9991" max="9991" width="11.140625" customWidth="1"/>
    <col min="10247" max="10247" width="11.140625" customWidth="1"/>
    <col min="10503" max="10503" width="11.140625" customWidth="1"/>
    <col min="10759" max="10759" width="11.140625" customWidth="1"/>
    <col min="11015" max="11015" width="11.140625" customWidth="1"/>
    <col min="11271" max="11271" width="11.140625" customWidth="1"/>
    <col min="11527" max="11527" width="11.140625" customWidth="1"/>
    <col min="11783" max="11783" width="11.140625" customWidth="1"/>
    <col min="12039" max="12039" width="11.140625" customWidth="1"/>
    <col min="12295" max="12295" width="11.140625" customWidth="1"/>
    <col min="12551" max="12551" width="11.140625" customWidth="1"/>
    <col min="12807" max="12807" width="11.140625" customWidth="1"/>
    <col min="13063" max="13063" width="11.140625" customWidth="1"/>
    <col min="13319" max="13319" width="11.140625" customWidth="1"/>
    <col min="13575" max="13575" width="11.140625" customWidth="1"/>
    <col min="13831" max="13831" width="11.140625" customWidth="1"/>
    <col min="14087" max="14087" width="11.140625" customWidth="1"/>
    <col min="14343" max="14343" width="11.140625" customWidth="1"/>
    <col min="14599" max="14599" width="11.140625" customWidth="1"/>
    <col min="14855" max="14855" width="11.140625" customWidth="1"/>
    <col min="15111" max="15111" width="11.140625" customWidth="1"/>
    <col min="15367" max="15367" width="11.140625" customWidth="1"/>
    <col min="15623" max="15623" width="11.140625" customWidth="1"/>
    <col min="15879" max="15879" width="11.140625" customWidth="1"/>
    <col min="16135" max="16135" width="11.140625" customWidth="1"/>
  </cols>
  <sheetData>
    <row r="1" spans="1:23" x14ac:dyDescent="0.2">
      <c r="F1" s="48" t="s">
        <v>53</v>
      </c>
      <c r="G1" s="48"/>
      <c r="R1" s="48" t="s">
        <v>53</v>
      </c>
      <c r="S1" s="48"/>
    </row>
    <row r="3" spans="1:23" x14ac:dyDescent="0.2">
      <c r="A3" s="113" t="s">
        <v>54</v>
      </c>
      <c r="B3" s="113"/>
      <c r="C3" s="113"/>
      <c r="D3" s="113"/>
      <c r="E3" s="113"/>
      <c r="F3" s="113"/>
      <c r="G3" s="113"/>
      <c r="H3" s="113"/>
      <c r="I3" s="113"/>
      <c r="J3" s="113"/>
      <c r="M3" s="113" t="s">
        <v>54</v>
      </c>
      <c r="N3" s="113"/>
      <c r="O3" s="113"/>
      <c r="P3" s="113"/>
      <c r="Q3" s="113"/>
      <c r="R3" s="113"/>
      <c r="S3" s="113"/>
      <c r="T3" s="113"/>
      <c r="U3" s="113"/>
      <c r="V3" s="113"/>
    </row>
    <row r="4" spans="1:23" x14ac:dyDescent="0.2">
      <c r="A4" s="49"/>
      <c r="B4" s="50"/>
      <c r="C4" s="50"/>
      <c r="D4" s="50"/>
      <c r="E4" s="50"/>
      <c r="F4" s="51" t="s">
        <v>55</v>
      </c>
      <c r="G4" s="50"/>
      <c r="H4" s="50"/>
      <c r="I4" s="50"/>
      <c r="J4" s="50"/>
      <c r="M4" s="49"/>
      <c r="N4" s="83"/>
      <c r="O4" s="83"/>
      <c r="P4" s="83"/>
      <c r="Q4" s="83"/>
      <c r="R4" s="51" t="s">
        <v>55</v>
      </c>
      <c r="S4" s="83"/>
      <c r="T4" s="83"/>
      <c r="U4" s="83"/>
      <c r="V4" s="83"/>
    </row>
    <row r="5" spans="1:23" x14ac:dyDescent="0.2">
      <c r="A5" s="49"/>
      <c r="B5" s="50"/>
      <c r="C5" s="50"/>
      <c r="D5" s="50"/>
      <c r="E5" s="50"/>
      <c r="F5" s="50"/>
      <c r="G5" s="50"/>
      <c r="H5" s="50"/>
      <c r="I5" s="50"/>
      <c r="J5" s="50"/>
      <c r="M5" s="49"/>
      <c r="N5" s="83"/>
      <c r="O5" s="83"/>
      <c r="P5" s="83"/>
      <c r="Q5" s="83"/>
      <c r="R5" s="83"/>
      <c r="S5" s="83"/>
      <c r="T5" s="83"/>
      <c r="U5" s="83"/>
      <c r="V5" s="83"/>
    </row>
    <row r="6" spans="1:23" ht="51" x14ac:dyDescent="0.2">
      <c r="A6" s="52"/>
      <c r="B6" s="52" t="s">
        <v>45</v>
      </c>
      <c r="C6" s="53" t="s">
        <v>56</v>
      </c>
      <c r="D6" s="53" t="s">
        <v>57</v>
      </c>
      <c r="E6" s="53" t="s">
        <v>58</v>
      </c>
      <c r="F6" s="53" t="s">
        <v>59</v>
      </c>
      <c r="G6" s="53" t="s">
        <v>60</v>
      </c>
      <c r="H6" s="54" t="s">
        <v>61</v>
      </c>
      <c r="I6" s="54" t="s">
        <v>62</v>
      </c>
      <c r="J6" s="54" t="s">
        <v>63</v>
      </c>
      <c r="K6" s="8" t="s">
        <v>64</v>
      </c>
      <c r="M6" s="52"/>
      <c r="N6" s="52" t="s">
        <v>45</v>
      </c>
      <c r="O6" s="53" t="s">
        <v>56</v>
      </c>
      <c r="P6" s="53" t="s">
        <v>57</v>
      </c>
      <c r="Q6" s="53" t="s">
        <v>58</v>
      </c>
      <c r="R6" s="53" t="s">
        <v>59</v>
      </c>
      <c r="S6" s="53" t="s">
        <v>60</v>
      </c>
      <c r="T6" s="54" t="s">
        <v>61</v>
      </c>
      <c r="U6" s="54" t="s">
        <v>62</v>
      </c>
      <c r="V6" s="54" t="s">
        <v>63</v>
      </c>
      <c r="W6" s="8" t="s">
        <v>64</v>
      </c>
    </row>
    <row r="7" spans="1:23" x14ac:dyDescent="0.2">
      <c r="A7" s="52" t="s">
        <v>65</v>
      </c>
      <c r="B7" s="55">
        <v>4263</v>
      </c>
      <c r="C7" s="56">
        <v>1970</v>
      </c>
      <c r="D7" s="57">
        <f>ROUND(C7/12,2)</f>
        <v>164.17</v>
      </c>
      <c r="E7" s="56">
        <v>2920</v>
      </c>
      <c r="F7" s="58">
        <v>0.35</v>
      </c>
      <c r="G7" s="57">
        <f>ROUND(B7/D7*K7,2)</f>
        <v>6318.55</v>
      </c>
      <c r="H7" s="59">
        <f>G7*35%</f>
        <v>2211.4924999999998</v>
      </c>
      <c r="I7" s="60">
        <f>H7/J7</f>
        <v>552.87312499999996</v>
      </c>
      <c r="J7" s="8">
        <v>4</v>
      </c>
      <c r="K7" s="61">
        <f>ROUND(E7/A14,2)</f>
        <v>243.33</v>
      </c>
      <c r="M7" s="52" t="s">
        <v>65</v>
      </c>
      <c r="N7" s="55">
        <v>4447</v>
      </c>
      <c r="O7" s="56">
        <v>1970</v>
      </c>
      <c r="P7" s="57">
        <f>ROUND(O7/12,2)</f>
        <v>164.17</v>
      </c>
      <c r="Q7" s="56">
        <v>2920</v>
      </c>
      <c r="R7" s="58">
        <v>0.35</v>
      </c>
      <c r="S7" s="57">
        <f>ROUND(N7/P7*W7,2)</f>
        <v>6591.27</v>
      </c>
      <c r="T7" s="59">
        <f>S7*35%</f>
        <v>2306.9445000000001</v>
      </c>
      <c r="U7" s="60">
        <f>T7/V7</f>
        <v>576.73612500000002</v>
      </c>
      <c r="V7" s="8">
        <v>4</v>
      </c>
      <c r="W7" s="61">
        <f>ROUND(Q7/M14,2)</f>
        <v>243.33</v>
      </c>
    </row>
    <row r="8" spans="1:23" x14ac:dyDescent="0.2">
      <c r="A8" s="52" t="s">
        <v>66</v>
      </c>
      <c r="B8" s="55">
        <v>4263</v>
      </c>
      <c r="C8" s="56">
        <v>1772.4</v>
      </c>
      <c r="D8" s="62">
        <f>ROUND(C8/12,2)</f>
        <v>147.69999999999999</v>
      </c>
      <c r="E8" s="56">
        <v>2920</v>
      </c>
      <c r="F8" s="58">
        <v>0.35</v>
      </c>
      <c r="G8" s="57">
        <f>ROUND(B8/D8*K8,2)</f>
        <v>7023.13</v>
      </c>
      <c r="H8" s="59">
        <f>G8*35%</f>
        <v>2458.0954999999999</v>
      </c>
      <c r="I8" s="60">
        <f>H8/J8</f>
        <v>614.52387499999998</v>
      </c>
      <c r="J8" s="8">
        <v>4</v>
      </c>
      <c r="K8" s="61">
        <f>ROUND(E8/A14,2)</f>
        <v>243.33</v>
      </c>
      <c r="M8" s="52" t="s">
        <v>66</v>
      </c>
      <c r="N8" s="55">
        <v>4447</v>
      </c>
      <c r="O8" s="56">
        <v>1772.4</v>
      </c>
      <c r="P8" s="62">
        <f>ROUND(O8/12,2)</f>
        <v>147.69999999999999</v>
      </c>
      <c r="Q8" s="56">
        <v>2920</v>
      </c>
      <c r="R8" s="58">
        <v>0.35</v>
      </c>
      <c r="S8" s="57">
        <f>ROUND(N8/P8*W8,2)</f>
        <v>7326.26</v>
      </c>
      <c r="T8" s="59">
        <f>S8*35%</f>
        <v>2564.1909999999998</v>
      </c>
      <c r="U8" s="60">
        <f>T8/V8</f>
        <v>641.04774999999995</v>
      </c>
      <c r="V8" s="8">
        <v>4</v>
      </c>
      <c r="W8" s="61">
        <f>ROUND(Q8/M14,2)</f>
        <v>243.33</v>
      </c>
    </row>
    <row r="9" spans="1:23" x14ac:dyDescent="0.2">
      <c r="A9" s="63"/>
      <c r="B9" s="63"/>
      <c r="C9" s="63"/>
      <c r="D9" s="63"/>
      <c r="E9" s="63"/>
      <c r="F9" s="63"/>
      <c r="G9" s="63">
        <f>(G8+G7)/2</f>
        <v>6670.84</v>
      </c>
      <c r="M9" s="63"/>
      <c r="N9" s="63"/>
      <c r="O9" s="63"/>
      <c r="P9" s="63"/>
      <c r="Q9" s="63"/>
      <c r="R9" s="63"/>
      <c r="S9" s="63">
        <f>(S8+S7)/2</f>
        <v>6958.7650000000003</v>
      </c>
    </row>
    <row r="10" spans="1:23" x14ac:dyDescent="0.2">
      <c r="A10" s="63" t="s">
        <v>67</v>
      </c>
      <c r="B10" s="64">
        <f>G9/J7</f>
        <v>1667.71</v>
      </c>
      <c r="C10" s="63"/>
      <c r="D10" s="63"/>
      <c r="E10" s="63"/>
      <c r="F10" s="63"/>
      <c r="G10" s="63"/>
      <c r="M10" s="63" t="s">
        <v>67</v>
      </c>
      <c r="N10" s="64">
        <f>S9/V7</f>
        <v>1739.6912500000001</v>
      </c>
      <c r="O10" s="63"/>
      <c r="P10" s="63"/>
      <c r="Q10" s="63"/>
      <c r="R10" s="63"/>
      <c r="S10" s="63"/>
    </row>
    <row r="11" spans="1:23" x14ac:dyDescent="0.2">
      <c r="A11" s="63"/>
      <c r="B11" s="63"/>
      <c r="C11" s="63"/>
      <c r="D11" s="63"/>
      <c r="E11" s="63"/>
      <c r="F11" s="63"/>
      <c r="G11" s="63"/>
      <c r="M11" s="63"/>
      <c r="N11" s="63"/>
      <c r="O11" s="63"/>
      <c r="P11" s="63"/>
      <c r="Q11" s="63"/>
      <c r="R11" s="63"/>
      <c r="S11" s="63"/>
    </row>
    <row r="12" spans="1:23" x14ac:dyDescent="0.2">
      <c r="A12" s="114" t="s">
        <v>68</v>
      </c>
      <c r="B12" s="114"/>
      <c r="C12" s="114"/>
      <c r="D12" s="114"/>
      <c r="E12" s="114"/>
      <c r="F12" s="114"/>
      <c r="G12" s="114"/>
      <c r="H12" s="8"/>
      <c r="I12" s="8"/>
      <c r="J12" s="8"/>
      <c r="M12" s="114" t="s">
        <v>68</v>
      </c>
      <c r="N12" s="114"/>
      <c r="O12" s="114"/>
      <c r="P12" s="114"/>
      <c r="Q12" s="114"/>
      <c r="R12" s="114"/>
      <c r="S12" s="114"/>
      <c r="T12" s="8"/>
      <c r="U12" s="8"/>
      <c r="V12" s="8"/>
    </row>
    <row r="13" spans="1:23" x14ac:dyDescent="0.2">
      <c r="A13" s="65">
        <v>18</v>
      </c>
      <c r="B13" s="66" t="s">
        <v>69</v>
      </c>
      <c r="C13" s="67">
        <v>24</v>
      </c>
      <c r="D13" s="66" t="s">
        <v>70</v>
      </c>
      <c r="E13" s="67"/>
      <c r="F13" s="66"/>
      <c r="G13" s="65">
        <v>336</v>
      </c>
      <c r="H13" s="115" t="s">
        <v>71</v>
      </c>
      <c r="I13" s="115"/>
      <c r="J13" s="115"/>
      <c r="M13" s="65">
        <v>18</v>
      </c>
      <c r="N13" s="66" t="s">
        <v>69</v>
      </c>
      <c r="O13" s="67">
        <v>24</v>
      </c>
      <c r="P13" s="66" t="s">
        <v>70</v>
      </c>
      <c r="Q13" s="67"/>
      <c r="R13" s="66"/>
      <c r="S13" s="65">
        <v>336</v>
      </c>
      <c r="T13" s="115" t="s">
        <v>71</v>
      </c>
      <c r="U13" s="115"/>
      <c r="V13" s="115"/>
    </row>
    <row r="14" spans="1:23" x14ac:dyDescent="0.2">
      <c r="A14" s="68">
        <v>12</v>
      </c>
      <c r="B14" s="68" t="s">
        <v>72</v>
      </c>
      <c r="C14" s="68">
        <v>4</v>
      </c>
      <c r="D14" s="68" t="s">
        <v>73</v>
      </c>
      <c r="E14" s="68"/>
      <c r="F14" s="68"/>
      <c r="G14" s="69">
        <f>G13/A14/C14</f>
        <v>7</v>
      </c>
      <c r="H14" s="115" t="s">
        <v>74</v>
      </c>
      <c r="I14" s="115"/>
      <c r="J14" s="115"/>
      <c r="M14" s="68">
        <v>12</v>
      </c>
      <c r="N14" s="68" t="s">
        <v>72</v>
      </c>
      <c r="O14" s="68">
        <v>4</v>
      </c>
      <c r="P14" s="68" t="s">
        <v>73</v>
      </c>
      <c r="Q14" s="68"/>
      <c r="R14" s="68"/>
      <c r="S14" s="69">
        <f>S13/M14/O14</f>
        <v>7</v>
      </c>
      <c r="T14" s="115" t="s">
        <v>74</v>
      </c>
      <c r="U14" s="115"/>
      <c r="V14" s="115"/>
    </row>
    <row r="15" spans="1:23" x14ac:dyDescent="0.2">
      <c r="A15" s="70"/>
      <c r="B15" s="70"/>
      <c r="C15" s="70"/>
      <c r="D15" s="70"/>
      <c r="E15" s="70"/>
      <c r="F15" s="70"/>
      <c r="G15" s="70"/>
      <c r="H15" s="71"/>
      <c r="I15" s="71"/>
      <c r="M15" s="84"/>
      <c r="N15" s="84"/>
      <c r="O15" s="84"/>
      <c r="P15" s="84"/>
      <c r="Q15" s="84"/>
      <c r="R15" s="84"/>
      <c r="S15" s="84"/>
      <c r="T15" s="71"/>
      <c r="U15" s="71"/>
    </row>
    <row r="16" spans="1:23" x14ac:dyDescent="0.2">
      <c r="A16" s="112"/>
      <c r="B16" s="112"/>
      <c r="C16" s="112"/>
      <c r="D16" s="112"/>
      <c r="E16" s="112"/>
      <c r="F16" s="112"/>
      <c r="G16" s="112"/>
      <c r="M16" s="112"/>
      <c r="N16" s="112"/>
      <c r="O16" s="112"/>
      <c r="P16" s="112"/>
      <c r="Q16" s="112"/>
      <c r="R16" s="112"/>
      <c r="S16" s="112"/>
    </row>
    <row r="18" spans="1:21" ht="25.5" x14ac:dyDescent="0.2">
      <c r="A18" s="55">
        <v>4263</v>
      </c>
      <c r="B18" s="8" t="s">
        <v>45</v>
      </c>
      <c r="C18" s="72">
        <f>D8</f>
        <v>147.69999999999999</v>
      </c>
      <c r="D18" s="54" t="s">
        <v>75</v>
      </c>
      <c r="E18" s="8">
        <v>7</v>
      </c>
      <c r="F18" s="54" t="s">
        <v>76</v>
      </c>
      <c r="G18" s="73">
        <f>A18/C18*E18</f>
        <v>202.03791469194314</v>
      </c>
      <c r="H18" s="8" t="s">
        <v>66</v>
      </c>
      <c r="I18" s="10"/>
      <c r="M18" s="55">
        <v>4447</v>
      </c>
      <c r="N18" s="8" t="s">
        <v>45</v>
      </c>
      <c r="O18" s="72">
        <f>P8</f>
        <v>147.69999999999999</v>
      </c>
      <c r="P18" s="54" t="s">
        <v>75</v>
      </c>
      <c r="Q18" s="8">
        <v>7</v>
      </c>
      <c r="R18" s="54" t="s">
        <v>76</v>
      </c>
      <c r="S18" s="73">
        <f>M18/O18*Q18</f>
        <v>210.75829383886258</v>
      </c>
      <c r="T18" s="8" t="s">
        <v>66</v>
      </c>
      <c r="U18" s="10"/>
    </row>
    <row r="19" spans="1:21" ht="25.5" x14ac:dyDescent="0.2">
      <c r="A19" s="8">
        <v>4</v>
      </c>
      <c r="B19" s="74" t="s">
        <v>77</v>
      </c>
      <c r="C19" s="8"/>
      <c r="D19" s="8"/>
      <c r="E19" s="8"/>
      <c r="F19" s="8"/>
      <c r="G19" s="61">
        <f>G18*A19</f>
        <v>808.15165876777257</v>
      </c>
      <c r="H19" s="8"/>
      <c r="I19" s="10"/>
      <c r="M19" s="8">
        <v>4</v>
      </c>
      <c r="N19" s="74" t="s">
        <v>77</v>
      </c>
      <c r="O19" s="8"/>
      <c r="P19" s="8"/>
      <c r="Q19" s="8"/>
      <c r="R19" s="8"/>
      <c r="S19" s="61">
        <f>S18*M19</f>
        <v>843.03317535545034</v>
      </c>
      <c r="T19" s="8"/>
      <c r="U19" s="10"/>
    </row>
    <row r="20" spans="1:21" x14ac:dyDescent="0.2">
      <c r="A20" s="68"/>
      <c r="B20" s="68"/>
      <c r="C20" s="68"/>
      <c r="D20" s="68"/>
      <c r="E20" s="68"/>
      <c r="F20" s="68"/>
      <c r="G20" s="69"/>
      <c r="H20" s="8"/>
      <c r="I20" s="10"/>
      <c r="M20" s="68"/>
      <c r="N20" s="68"/>
      <c r="O20" s="68"/>
      <c r="P20" s="68"/>
      <c r="Q20" s="68"/>
      <c r="R20" s="68"/>
      <c r="S20" s="69"/>
      <c r="T20" s="8"/>
      <c r="U20" s="10"/>
    </row>
    <row r="21" spans="1:21" x14ac:dyDescent="0.2">
      <c r="A21" s="8"/>
      <c r="B21" s="8"/>
      <c r="C21" s="8"/>
      <c r="D21" s="8"/>
      <c r="E21" s="8"/>
      <c r="F21" s="8"/>
      <c r="G21" s="72"/>
      <c r="H21" s="8"/>
      <c r="I21" s="10"/>
      <c r="M21" s="8"/>
      <c r="N21" s="8"/>
      <c r="O21" s="8"/>
      <c r="P21" s="8"/>
      <c r="Q21" s="8"/>
      <c r="R21" s="8"/>
      <c r="S21" s="72"/>
      <c r="T21" s="8"/>
      <c r="U21" s="10"/>
    </row>
    <row r="22" spans="1:21" ht="25.5" x14ac:dyDescent="0.2">
      <c r="A22" s="55">
        <v>4263</v>
      </c>
      <c r="B22" s="8" t="s">
        <v>45</v>
      </c>
      <c r="C22" s="61">
        <f>D7</f>
        <v>164.17</v>
      </c>
      <c r="D22" s="54" t="s">
        <v>75</v>
      </c>
      <c r="E22" s="8">
        <v>7</v>
      </c>
      <c r="F22" s="54" t="s">
        <v>76</v>
      </c>
      <c r="G22" s="73">
        <f>A22/C22*E22</f>
        <v>181.76889809343973</v>
      </c>
      <c r="H22" s="8" t="s">
        <v>65</v>
      </c>
      <c r="I22" s="10"/>
      <c r="M22" s="55">
        <v>4447</v>
      </c>
      <c r="N22" s="8" t="s">
        <v>45</v>
      </c>
      <c r="O22" s="61">
        <f>P7</f>
        <v>164.17</v>
      </c>
      <c r="P22" s="54" t="s">
        <v>75</v>
      </c>
      <c r="Q22" s="8">
        <v>7</v>
      </c>
      <c r="R22" s="54" t="s">
        <v>76</v>
      </c>
      <c r="S22" s="73">
        <f>M22/O22*Q22</f>
        <v>189.61442407260768</v>
      </c>
      <c r="T22" s="8" t="s">
        <v>65</v>
      </c>
      <c r="U22" s="10"/>
    </row>
    <row r="23" spans="1:21" ht="25.5" x14ac:dyDescent="0.2">
      <c r="A23" s="8">
        <v>4</v>
      </c>
      <c r="B23" s="54" t="s">
        <v>77</v>
      </c>
      <c r="C23" s="8"/>
      <c r="D23" s="68"/>
      <c r="E23" s="68"/>
      <c r="F23" s="68"/>
      <c r="G23" s="59">
        <f>G22*A23</f>
        <v>727.07559237375892</v>
      </c>
      <c r="H23" s="8"/>
      <c r="I23" s="10"/>
      <c r="M23" s="8">
        <v>4</v>
      </c>
      <c r="N23" s="54" t="s">
        <v>77</v>
      </c>
      <c r="O23" s="8"/>
      <c r="P23" s="68"/>
      <c r="Q23" s="68"/>
      <c r="R23" s="68"/>
      <c r="S23" s="59">
        <f>S22*M23</f>
        <v>758.4576962904307</v>
      </c>
      <c r="T23" s="8"/>
      <c r="U23" s="10"/>
    </row>
    <row r="24" spans="1:21" x14ac:dyDescent="0.2">
      <c r="A24" s="3"/>
      <c r="B24" s="3"/>
      <c r="C24" s="3"/>
      <c r="D24" s="3"/>
      <c r="E24" s="3"/>
      <c r="F24" s="3"/>
      <c r="G24" s="75"/>
      <c r="M24" s="3"/>
      <c r="N24" s="3"/>
      <c r="O24" s="3"/>
      <c r="P24" s="3"/>
      <c r="Q24" s="3"/>
      <c r="R24" s="3"/>
      <c r="S24" s="75"/>
    </row>
    <row r="26" spans="1:21" x14ac:dyDescent="0.2">
      <c r="A26" s="112" t="s">
        <v>67</v>
      </c>
      <c r="B26" s="112"/>
      <c r="C26" s="76">
        <f>(G19+G23)/2</f>
        <v>767.61362557076575</v>
      </c>
      <c r="M26" s="112" t="s">
        <v>67</v>
      </c>
      <c r="N26" s="112"/>
      <c r="O26" s="76">
        <f>(S19+S23)/2</f>
        <v>800.74543582294052</v>
      </c>
    </row>
    <row r="29" spans="1:21" ht="15" x14ac:dyDescent="0.25">
      <c r="A29" s="77" t="s">
        <v>78</v>
      </c>
      <c r="B29" s="78"/>
      <c r="C29" s="78"/>
      <c r="D29" s="79"/>
      <c r="E29" s="80"/>
      <c r="H29" s="48" t="s">
        <v>37</v>
      </c>
      <c r="I29" s="48"/>
      <c r="M29" s="77" t="s">
        <v>78</v>
      </c>
      <c r="N29" s="78"/>
      <c r="O29" s="78"/>
      <c r="P29" s="79"/>
      <c r="Q29" s="80"/>
      <c r="T29" s="48" t="s">
        <v>37</v>
      </c>
      <c r="U29" s="48"/>
    </row>
    <row r="30" spans="1:21" x14ac:dyDescent="0.2">
      <c r="A30" s="81"/>
      <c r="B30" s="82" t="s">
        <v>79</v>
      </c>
      <c r="C30" s="82"/>
      <c r="D30" s="82"/>
      <c r="E30" s="82"/>
      <c r="F30" s="82"/>
      <c r="G30" s="82"/>
      <c r="H30" s="82" t="s">
        <v>80</v>
      </c>
      <c r="I30" s="82"/>
      <c r="M30" s="81"/>
      <c r="N30" s="82" t="s">
        <v>79</v>
      </c>
      <c r="O30" s="82"/>
      <c r="P30" s="82"/>
      <c r="Q30" s="82"/>
      <c r="R30" s="82"/>
      <c r="S30" s="82"/>
      <c r="T30" s="82" t="s">
        <v>80</v>
      </c>
      <c r="U30" s="82"/>
    </row>
  </sheetData>
  <mergeCells count="12">
    <mergeCell ref="M26:N26"/>
    <mergeCell ref="M3:V3"/>
    <mergeCell ref="M12:S12"/>
    <mergeCell ref="T13:V13"/>
    <mergeCell ref="T14:V14"/>
    <mergeCell ref="M16:S16"/>
    <mergeCell ref="A26:B26"/>
    <mergeCell ref="A3:J3"/>
    <mergeCell ref="A12:G12"/>
    <mergeCell ref="H13:J13"/>
    <mergeCell ref="H14:J14"/>
    <mergeCell ref="A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штат СТОЛ на 01.01.2020</vt:lpstr>
      <vt:lpstr>расчет ночн и празд машинистам</vt:lpstr>
      <vt:lpstr>'штат СТОЛ на 01.01.2020'!Область_печати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2020-02-29T00:45:02Z</cp:lastPrinted>
  <dcterms:created xsi:type="dcterms:W3CDTF">1996-10-08T23:32:33Z</dcterms:created>
  <dcterms:modified xsi:type="dcterms:W3CDTF">2020-03-01T04:48:32Z</dcterms:modified>
</cp:coreProperties>
</file>